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ystein.moen\Downloads\"/>
    </mc:Choice>
  </mc:AlternateContent>
  <xr:revisionPtr revIDLastSave="0" documentId="8_{65C18495-C933-4051-AFE5-60C220572742}" xr6:coauthVersionLast="47" xr6:coauthVersionMax="47" xr10:uidLastSave="{00000000-0000-0000-0000-000000000000}"/>
  <bookViews>
    <workbookView xWindow="28800" yWindow="0" windowWidth="28800" windowHeight="15600" xr2:uid="{A79800B1-0AA0-47BB-8819-B6E53A6B2B06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C8" i="1" s="1"/>
  <c r="J26" i="1"/>
  <c r="J29" i="1" l="1"/>
  <c r="J31" i="1" s="1"/>
  <c r="J33" i="1" s="1"/>
  <c r="J34" i="1" l="1"/>
  <c r="A7" i="1" l="1"/>
  <c r="I20" i="1"/>
  <c r="A10" i="1"/>
  <c r="B10" i="1"/>
  <c r="C10" i="1" s="1"/>
  <c r="Q11" i="1"/>
  <c r="R11" i="1"/>
  <c r="Q10" i="1"/>
  <c r="R10" i="1" s="1"/>
  <c r="Q9" i="1"/>
  <c r="R9" i="1"/>
  <c r="Q8" i="1"/>
  <c r="R8" i="1" s="1"/>
  <c r="Q7" i="1"/>
  <c r="R7" i="1" s="1"/>
  <c r="J14" i="1" s="1"/>
  <c r="Q5" i="1"/>
  <c r="R5" i="1" s="1"/>
  <c r="Q6" i="1"/>
  <c r="R6" i="1" s="1"/>
  <c r="N8" i="1"/>
  <c r="J7" i="1" s="1"/>
  <c r="C16" i="1" s="1"/>
  <c r="N7" i="1"/>
  <c r="J13" i="1"/>
  <c r="N6" i="1"/>
  <c r="N12" i="1"/>
  <c r="J6" i="1" s="1"/>
  <c r="N11" i="1"/>
  <c r="N10" i="1"/>
  <c r="N9" i="1"/>
  <c r="J5" i="1"/>
  <c r="C23" i="1" l="1"/>
  <c r="J12" i="1"/>
  <c r="C19" i="1" s="1"/>
  <c r="C25" i="1" l="1"/>
  <c r="C20" i="1"/>
  <c r="C22" i="1" s="1"/>
  <c r="J35" i="1" s="1"/>
  <c r="J36" i="1" s="1"/>
  <c r="E25" i="1" l="1"/>
  <c r="E18" i="1" s="1"/>
  <c r="E22" i="1"/>
  <c r="E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Øystein Moen</author>
  </authors>
  <commentList>
    <comment ref="B10" authorId="0" shapeId="0" xr:uid="{F8EE6EE3-1686-4D61-BA72-69D40E531B80}">
      <text>
        <r>
          <rPr>
            <sz val="9"/>
            <color indexed="81"/>
            <rFont val="Tahoma"/>
            <family val="2"/>
          </rPr>
          <t>Forhåndstall ift besetningstype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1" authorId="0" shapeId="0" xr:uid="{08F2B7D7-1F31-49FB-B715-7D4434BA88EA}">
      <text>
        <r>
          <rPr>
            <sz val="9"/>
            <color indexed="81"/>
            <rFont val="Tahoma"/>
            <family val="2"/>
          </rPr>
          <t>Det er ikke mange som har 100% grisingsprosent. Noen løser dette med å ha avlspurker/overliggere fra tidligere puljer som backup slik at fødebingene blir fylt opp. Disse må også tas med når antall innsatte avlspurker skal telles.</t>
        </r>
      </text>
    </comment>
    <comment ref="A24" authorId="0" shapeId="0" xr:uid="{BD2EFF83-DC73-4953-ABF6-E8A9E6A80FEC}">
      <text>
        <r>
          <rPr>
            <sz val="9"/>
            <color indexed="81"/>
            <rFont val="Tahoma"/>
            <family val="2"/>
          </rPr>
          <t xml:space="preserve">Purker som har hatt kull som blir avlivet eller selvdøde i besetning må regnes med. </t>
        </r>
      </text>
    </comment>
  </commentList>
</comments>
</file>

<file path=xl/sharedStrings.xml><?xml version="1.0" encoding="utf-8"?>
<sst xmlns="http://schemas.openxmlformats.org/spreadsheetml/2006/main" count="63" uniqueCount="57">
  <si>
    <t>Besetningstype</t>
  </si>
  <si>
    <t>Bruksbesetning</t>
  </si>
  <si>
    <t>Puljesystem</t>
  </si>
  <si>
    <t>Grupper purker</t>
  </si>
  <si>
    <t>Omganger i fødebingen</t>
  </si>
  <si>
    <t>Utrangerte avlspurker</t>
  </si>
  <si>
    <t>Størrelse husdyrkonsesjon</t>
  </si>
  <si>
    <t>5,5 uker system</t>
  </si>
  <si>
    <t>3 ukers system</t>
  </si>
  <si>
    <t>7-7-8 ukers system</t>
  </si>
  <si>
    <t>Maks antall innsatte avlspurker(det gamle regelverket)</t>
  </si>
  <si>
    <t>11 ukers system</t>
  </si>
  <si>
    <t>Maks antall utrangerte avlspurker hos:</t>
  </si>
  <si>
    <t>22 ukers system</t>
  </si>
  <si>
    <t>23 ukers system</t>
  </si>
  <si>
    <t>26 ukers system</t>
  </si>
  <si>
    <t>Antall grupper i føden</t>
  </si>
  <si>
    <t>gamlepurker</t>
  </si>
  <si>
    <t xml:space="preserve">Antall slakta purker </t>
  </si>
  <si>
    <t>-</t>
  </si>
  <si>
    <t>Formeringsbesetning</t>
  </si>
  <si>
    <t>Omsatte livdyr over 50kg,(bare aktuelt for avlsbesetninger)</t>
  </si>
  <si>
    <t>Antall puljer med purker</t>
  </si>
  <si>
    <t>Foredlingsbesetning</t>
  </si>
  <si>
    <t xml:space="preserve">Purker per pulje </t>
  </si>
  <si>
    <t>Planlagt rekrutteringsprosent</t>
  </si>
  <si>
    <t>Antall avlspurker i føden</t>
  </si>
  <si>
    <t>Antall avlspurker i gjeldpurkeavdeling</t>
  </si>
  <si>
    <t>Antall overliggere av avlspurker til enhver tid (anslag)</t>
  </si>
  <si>
    <t>Antall avlspurker inne på ethvert tidspunkt</t>
  </si>
  <si>
    <t>Antall slakta avlspurker per år</t>
  </si>
  <si>
    <t>Antall døde avlspurker per år (anslag)</t>
  </si>
  <si>
    <t>Sum utrangerte avlspurker per år</t>
  </si>
  <si>
    <t>Utarbeidet av:</t>
  </si>
  <si>
    <t>drektighetsdager</t>
  </si>
  <si>
    <t>Dietid</t>
  </si>
  <si>
    <t>Tomdager</t>
  </si>
  <si>
    <t>Sum</t>
  </si>
  <si>
    <t>andel  førstekull</t>
  </si>
  <si>
    <t>Dager avslpurke</t>
  </si>
  <si>
    <t>Avlspurke år årspurke</t>
  </si>
  <si>
    <t>Årspurke pr avlspurke</t>
  </si>
  <si>
    <t>Planleggingsverktøy smågrisproduksjon</t>
  </si>
  <si>
    <t>Leverte slaktegris per år(også ungpurker som ikke har hatt kull, selv om de blir over 125 kg på slaktelinja)</t>
  </si>
  <si>
    <t>Dobbeltrykk her for å endre besetningstype</t>
  </si>
  <si>
    <t xml:space="preserve">Dobbeltrykk her for å endre puljesystem </t>
  </si>
  <si>
    <t>For mange innsatte avlspurker ift konsesjonsgrensen</t>
  </si>
  <si>
    <t>For mange utrangerte avlspurker i forhold maks antall</t>
  </si>
  <si>
    <t>Rekrutteringsprosent må reduseres for å være innenfor maks utrangerte avlspurker</t>
  </si>
  <si>
    <t>Du må redusere puljestørrelsen din for å være innenfor konsesjonsgrensen</t>
  </si>
  <si>
    <t>Du er innenfor konsesjonsgrensen på innsatte avlspurker</t>
  </si>
  <si>
    <t>Du er innenfor konsesjonsgrensen på maks antall utrangerte</t>
  </si>
  <si>
    <t xml:space="preserve"> </t>
  </si>
  <si>
    <t>Årpurker</t>
  </si>
  <si>
    <t>avlspurker</t>
  </si>
  <si>
    <r>
      <t xml:space="preserve">BEREGING AV ANTALL INNSATTE AVLSPURKER OG MAKS ANTALL UTRANGERETE AVSLSPURKER </t>
    </r>
    <r>
      <rPr>
        <sz val="11"/>
        <color theme="1"/>
        <rFont val="Calibri"/>
        <family val="2"/>
        <scheme val="minor"/>
      </rPr>
      <t>ver. 3</t>
    </r>
  </si>
  <si>
    <t>Versjon 3 avrundet avlspurker 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</si>
</sst>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9"/>
      <color indexed="81"/>
      <name val="Tahoma"/>
      <charset val="1"/>
    </font>
    <font>
      <sz val="11"/>
      <name val="Calibri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1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0" fillId="0" borderId="2" xfId="0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2" fontId="0" fillId="0" borderId="0" xfId="0" applyNumberFormat="1" applyAlignment="1" applyProtection="1">
      <alignment horizontal="right"/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6" fillId="2" borderId="1" xfId="0" applyFont="1" applyFill="1" applyBorder="1" applyAlignment="1" applyProtection="1">
      <alignment horizontal="left" vertical="top" wrapText="1"/>
      <protection hidden="1"/>
    </xf>
    <xf numFmtId="2" fontId="0" fillId="0" borderId="0" xfId="0" applyNumberFormat="1"/>
    <xf numFmtId="9" fontId="0" fillId="0" borderId="0" xfId="0" applyNumberFormat="1"/>
    <xf numFmtId="43" fontId="0" fillId="0" borderId="0" xfId="0" applyNumberFormat="1" applyProtection="1">
      <protection hidden="1"/>
    </xf>
    <xf numFmtId="0" fontId="0" fillId="2" borderId="10" xfId="0" applyFill="1" applyBorder="1" applyProtection="1">
      <protection hidden="1"/>
    </xf>
    <xf numFmtId="0" fontId="3" fillId="3" borderId="5" xfId="0" applyFont="1" applyFill="1" applyBorder="1" applyProtection="1">
      <protection hidden="1"/>
    </xf>
    <xf numFmtId="164" fontId="6" fillId="3" borderId="10" xfId="1" applyNumberFormat="1" applyFont="1" applyFill="1" applyBorder="1" applyAlignment="1" applyProtection="1">
      <alignment horizontal="right" vertical="top" wrapText="1"/>
      <protection hidden="1"/>
    </xf>
    <xf numFmtId="1" fontId="0" fillId="3" borderId="10" xfId="0" applyNumberFormat="1" applyFill="1" applyBorder="1" applyAlignment="1" applyProtection="1">
      <alignment horizontal="right"/>
      <protection hidden="1"/>
    </xf>
    <xf numFmtId="1" fontId="0" fillId="3" borderId="17" xfId="0" applyNumberFormat="1" applyFill="1" applyBorder="1" applyAlignment="1" applyProtection="1">
      <alignment horizontal="right"/>
      <protection hidden="1"/>
    </xf>
    <xf numFmtId="1" fontId="0" fillId="3" borderId="10" xfId="0" applyNumberFormat="1" applyFill="1" applyBorder="1" applyProtection="1">
      <protection hidden="1"/>
    </xf>
    <xf numFmtId="0" fontId="0" fillId="2" borderId="10" xfId="0" applyFill="1" applyBorder="1" applyProtection="1">
      <protection locked="0"/>
    </xf>
    <xf numFmtId="164" fontId="9" fillId="3" borderId="10" xfId="1" applyNumberFormat="1" applyFont="1" applyFill="1" applyBorder="1" applyAlignment="1" applyProtection="1">
      <alignment horizontal="right" vertical="top" shrinkToFit="1"/>
      <protection hidden="1"/>
    </xf>
    <xf numFmtId="164" fontId="8" fillId="3" borderId="10" xfId="0" applyNumberFormat="1" applyFont="1" applyFill="1" applyBorder="1" applyProtection="1">
      <protection hidden="1"/>
    </xf>
    <xf numFmtId="1" fontId="8" fillId="3" borderId="10" xfId="0" applyNumberFormat="1" applyFont="1" applyFill="1" applyBorder="1" applyProtection="1">
      <protection hidden="1"/>
    </xf>
    <xf numFmtId="2" fontId="0" fillId="3" borderId="10" xfId="0" applyNumberFormat="1" applyFill="1" applyBorder="1" applyProtection="1">
      <protection hidden="1"/>
    </xf>
    <xf numFmtId="0" fontId="0" fillId="2" borderId="11" xfId="0" applyFill="1" applyBorder="1" applyProtection="1">
      <protection locked="0"/>
    </xf>
    <xf numFmtId="1" fontId="7" fillId="2" borderId="10" xfId="0" applyNumberFormat="1" applyFont="1" applyFill="1" applyBorder="1" applyAlignment="1" applyProtection="1">
      <alignment horizontal="right" vertical="top" shrinkToFit="1"/>
      <protection locked="0"/>
    </xf>
    <xf numFmtId="9" fontId="0" fillId="2" borderId="10" xfId="2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64" fontId="0" fillId="0" borderId="0" xfId="0" applyNumberFormat="1" applyProtection="1">
      <protection hidden="1"/>
    </xf>
    <xf numFmtId="0" fontId="12" fillId="0" borderId="0" xfId="0" applyFont="1" applyProtection="1">
      <protection hidden="1"/>
    </xf>
    <xf numFmtId="164" fontId="8" fillId="3" borderId="14" xfId="0" applyNumberFormat="1" applyFont="1" applyFill="1" applyBorder="1" applyProtection="1">
      <protection hidden="1"/>
    </xf>
    <xf numFmtId="164" fontId="3" fillId="0" borderId="0" xfId="0" applyNumberFormat="1" applyFont="1" applyProtection="1">
      <protection hidden="1"/>
    </xf>
    <xf numFmtId="0" fontId="11" fillId="3" borderId="10" xfId="0" applyFont="1" applyFill="1" applyBorder="1" applyAlignment="1" applyProtection="1">
      <alignment horizontal="left" vertical="top" wrapText="1"/>
      <protection hidden="1"/>
    </xf>
    <xf numFmtId="0" fontId="11" fillId="2" borderId="1" xfId="0" applyFont="1" applyFill="1" applyBorder="1" applyAlignment="1" applyProtection="1">
      <alignment horizontal="left" vertical="top" wrapText="1"/>
      <protection hidden="1"/>
    </xf>
    <xf numFmtId="0" fontId="11" fillId="2" borderId="8" xfId="0" applyFont="1" applyFill="1" applyBorder="1" applyAlignment="1" applyProtection="1">
      <alignment horizontal="left" vertical="top" wrapText="1"/>
      <protection hidden="1"/>
    </xf>
    <xf numFmtId="0" fontId="11" fillId="3" borderId="5" xfId="0" applyFont="1" applyFill="1" applyBorder="1" applyAlignment="1" applyProtection="1">
      <alignment horizontal="left" vertical="top" wrapText="1"/>
      <protection hidden="1"/>
    </xf>
    <xf numFmtId="0" fontId="11" fillId="3" borderId="2" xfId="0" applyFont="1" applyFill="1" applyBorder="1" applyAlignment="1" applyProtection="1">
      <alignment horizontal="left" vertical="top" wrapText="1"/>
      <protection hidden="1"/>
    </xf>
    <xf numFmtId="0" fontId="11" fillId="3" borderId="1" xfId="0" applyFont="1" applyFill="1" applyBorder="1" applyAlignment="1" applyProtection="1">
      <alignment horizontal="left" vertical="top" wrapText="1"/>
      <protection hidden="1"/>
    </xf>
    <xf numFmtId="0" fontId="11" fillId="3" borderId="8" xfId="0" applyFont="1" applyFill="1" applyBorder="1" applyAlignment="1" applyProtection="1">
      <alignment horizontal="left" vertical="top" wrapText="1"/>
      <protection hidden="1"/>
    </xf>
    <xf numFmtId="0" fontId="11" fillId="3" borderId="1" xfId="0" applyFont="1" applyFill="1" applyBorder="1" applyAlignment="1" applyProtection="1">
      <alignment horizontal="left" vertical="top"/>
      <protection hidden="1"/>
    </xf>
    <xf numFmtId="0" fontId="11" fillId="3" borderId="8" xfId="0" applyFont="1" applyFill="1" applyBorder="1" applyAlignment="1" applyProtection="1">
      <alignment horizontal="left" vertical="top"/>
      <protection hidden="1"/>
    </xf>
    <xf numFmtId="0" fontId="4" fillId="0" borderId="0" xfId="0" applyFont="1" applyAlignment="1" applyProtection="1">
      <alignment horizontal="center"/>
      <protection hidden="1"/>
    </xf>
    <xf numFmtId="0" fontId="11" fillId="2" borderId="3" xfId="0" applyFont="1" applyFill="1" applyBorder="1" applyAlignment="1" applyProtection="1">
      <alignment horizontal="left" vertical="top" wrapText="1"/>
      <protection hidden="1"/>
    </xf>
    <xf numFmtId="0" fontId="11" fillId="2" borderId="9" xfId="0" applyFont="1" applyFill="1" applyBorder="1" applyAlignment="1" applyProtection="1">
      <alignment horizontal="left" vertical="top" wrapText="1"/>
      <protection hidden="1"/>
    </xf>
    <xf numFmtId="0" fontId="11" fillId="2" borderId="10" xfId="0" applyFont="1" applyFill="1" applyBorder="1" applyAlignment="1" applyProtection="1">
      <alignment horizontal="left" vertical="top" wrapText="1"/>
      <protection hidden="1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Alignment="1" applyProtection="1">
      <alignment horizontal="center" vertical="top"/>
      <protection locked="0"/>
    </xf>
    <xf numFmtId="0" fontId="11" fillId="2" borderId="7" xfId="0" applyFont="1" applyFill="1" applyBorder="1" applyAlignment="1" applyProtection="1">
      <alignment horizontal="center" vertical="top"/>
      <protection locked="0"/>
    </xf>
    <xf numFmtId="0" fontId="0" fillId="2" borderId="10" xfId="0" applyFill="1" applyBorder="1" applyAlignment="1" applyProtection="1">
      <alignment horizontal="left"/>
      <protection hidden="1"/>
    </xf>
    <xf numFmtId="0" fontId="0" fillId="2" borderId="15" xfId="0" applyFill="1" applyBorder="1" applyAlignment="1" applyProtection="1">
      <alignment horizontal="left"/>
      <protection hidden="1"/>
    </xf>
    <xf numFmtId="0" fontId="0" fillId="3" borderId="15" xfId="0" applyFill="1" applyBorder="1" applyAlignment="1" applyProtection="1">
      <alignment horizontal="left"/>
      <protection hidden="1"/>
    </xf>
    <xf numFmtId="0" fontId="0" fillId="3" borderId="18" xfId="0" applyFill="1" applyBorder="1" applyAlignment="1" applyProtection="1">
      <alignment horizontal="left"/>
      <protection hidden="1"/>
    </xf>
    <xf numFmtId="0" fontId="0" fillId="3" borderId="12" xfId="0" applyFill="1" applyBorder="1" applyAlignment="1" applyProtection="1">
      <alignment horizontal="left"/>
      <protection hidden="1"/>
    </xf>
    <xf numFmtId="0" fontId="0" fillId="3" borderId="16" xfId="0" applyFill="1" applyBorder="1" applyAlignment="1" applyProtection="1">
      <alignment horizontal="left"/>
      <protection hidden="1"/>
    </xf>
    <xf numFmtId="0" fontId="0" fillId="3" borderId="3" xfId="0" applyFill="1" applyBorder="1" applyAlignment="1" applyProtection="1">
      <alignment horizontal="left"/>
      <protection hidden="1"/>
    </xf>
    <xf numFmtId="0" fontId="0" fillId="3" borderId="9" xfId="0" applyFill="1" applyBorder="1" applyAlignment="1" applyProtection="1">
      <alignment horizontal="left"/>
      <protection hidden="1"/>
    </xf>
  </cellXfs>
  <cellStyles count="3">
    <cellStyle name="Komma" xfId="1" builtinId="3"/>
    <cellStyle name="Normal" xfId="0" builtinId="0"/>
    <cellStyle name="Prosent" xfId="2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CC"/>
      <color rgb="FFFF99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Ark1'!C4"/><Relationship Id="rId7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hyperlink" Target="#'Ark1'!A24"/><Relationship Id="rId6" Type="http://schemas.openxmlformats.org/officeDocument/2006/relationships/hyperlink" Target="#'Ark1'!A21"/><Relationship Id="rId5" Type="http://schemas.openxmlformats.org/officeDocument/2006/relationships/hyperlink" Target="#'Ark1'!C15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456459</xdr:colOff>
      <xdr:row>23</xdr:row>
      <xdr:rowOff>18917</xdr:rowOff>
    </xdr:from>
    <xdr:to>
      <xdr:col>1</xdr:col>
      <xdr:colOff>646031</xdr:colOff>
      <xdr:row>23</xdr:row>
      <xdr:rowOff>104141</xdr:rowOff>
    </xdr:to>
    <xdr:pic>
      <xdr:nvPicPr>
        <xdr:cNvPr id="5" name="Bilde 4">
          <a:hlinkClick xmlns:r="http://schemas.openxmlformats.org/officeDocument/2006/relationships" r:id="rId1" tooltip="Purker som har hatt kull som blir avlivet eller selvdøde i besetning må regnes med. "/>
          <a:extLst>
            <a:ext uri="{FF2B5EF4-FFF2-40B4-BE49-F238E27FC236}">
              <a16:creationId xmlns:a16="http://schemas.microsoft.com/office/drawing/2014/main" id="{DD23C14F-A91C-40E0-92F5-03A003639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1080" y="5109865"/>
          <a:ext cx="189572" cy="85224"/>
        </a:xfrm>
        <a:prstGeom prst="rect">
          <a:avLst/>
        </a:prstGeom>
      </xdr:spPr>
    </xdr:pic>
    <xdr:clientData/>
  </xdr:twoCellAnchor>
  <xdr:twoCellAnchor editAs="oneCell">
    <xdr:from>
      <xdr:col>2</xdr:col>
      <xdr:colOff>1120458</xdr:colOff>
      <xdr:row>3</xdr:row>
      <xdr:rowOff>45998</xdr:rowOff>
    </xdr:from>
    <xdr:to>
      <xdr:col>3</xdr:col>
      <xdr:colOff>148877</xdr:colOff>
      <xdr:row>3</xdr:row>
      <xdr:rowOff>185662</xdr:rowOff>
    </xdr:to>
    <xdr:pic>
      <xdr:nvPicPr>
        <xdr:cNvPr id="3" name="Bilde 2" descr="Besetningstype">
          <a:hlinkClick xmlns:r="http://schemas.openxmlformats.org/officeDocument/2006/relationships" r:id="rId3" tooltip="Besetningstype"/>
          <a:extLst>
            <a:ext uri="{FF2B5EF4-FFF2-40B4-BE49-F238E27FC236}">
              <a16:creationId xmlns:a16="http://schemas.microsoft.com/office/drawing/2014/main" id="{785922F3-9027-7498-F346-FD2BF46AE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16958" y="617498"/>
          <a:ext cx="151490" cy="139664"/>
        </a:xfrm>
        <a:prstGeom prst="rect">
          <a:avLst/>
        </a:prstGeom>
      </xdr:spPr>
    </xdr:pic>
    <xdr:clientData/>
  </xdr:twoCellAnchor>
  <xdr:oneCellAnchor>
    <xdr:from>
      <xdr:col>3</xdr:col>
      <xdr:colOff>12775</xdr:colOff>
      <xdr:row>14</xdr:row>
      <xdr:rowOff>55529</xdr:rowOff>
    </xdr:from>
    <xdr:ext cx="153925" cy="138677"/>
    <xdr:pic>
      <xdr:nvPicPr>
        <xdr:cNvPr id="4" name="Bilde 3" descr="Besetningstype">
          <a:hlinkClick xmlns:r="http://schemas.openxmlformats.org/officeDocument/2006/relationships" r:id="rId5" tooltip="Puljesystem"/>
          <a:extLst>
            <a:ext uri="{FF2B5EF4-FFF2-40B4-BE49-F238E27FC236}">
              <a16:creationId xmlns:a16="http://schemas.microsoft.com/office/drawing/2014/main" id="{3339B10B-D085-45D1-86E2-D41307B16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98732" y="3430100"/>
          <a:ext cx="153925" cy="138677"/>
        </a:xfrm>
        <a:prstGeom prst="rect">
          <a:avLst/>
        </a:prstGeom>
      </xdr:spPr>
    </xdr:pic>
    <xdr:clientData/>
  </xdr:oneCellAnchor>
  <xdr:twoCellAnchor editAs="oneCell">
    <xdr:from>
      <xdr:col>1</xdr:col>
      <xdr:colOff>425728</xdr:colOff>
      <xdr:row>20</xdr:row>
      <xdr:rowOff>17603</xdr:rowOff>
    </xdr:from>
    <xdr:to>
      <xdr:col>1</xdr:col>
      <xdr:colOff>615300</xdr:colOff>
      <xdr:row>20</xdr:row>
      <xdr:rowOff>102827</xdr:rowOff>
    </xdr:to>
    <xdr:pic>
      <xdr:nvPicPr>
        <xdr:cNvPr id="2" name="Bilde 1">
          <a:hlinkClick xmlns:r="http://schemas.openxmlformats.org/officeDocument/2006/relationships" r:id="rId6" tooltip="Det er ikke mange som har 100% grisingsprosent. Noen løser dette med å ha avlspurker/overliggere fra tidligere puljer som backup slik at fødebingene blir fylt opp. Disse må også tas med når antall innsatte avlspurker skal telles."/>
          <a:extLst>
            <a:ext uri="{FF2B5EF4-FFF2-40B4-BE49-F238E27FC236}">
              <a16:creationId xmlns:a16="http://schemas.microsoft.com/office/drawing/2014/main" id="{37EA7E27-4B5F-80BA-04D5-C1A9CB91B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0349" y="4530482"/>
          <a:ext cx="189572" cy="85224"/>
        </a:xfrm>
        <a:prstGeom prst="rect">
          <a:avLst/>
        </a:prstGeom>
      </xdr:spPr>
    </xdr:pic>
    <xdr:clientData/>
  </xdr:twoCellAnchor>
  <xdr:twoCellAnchor editAs="oneCell">
    <xdr:from>
      <xdr:col>0</xdr:col>
      <xdr:colOff>16567</xdr:colOff>
      <xdr:row>33</xdr:row>
      <xdr:rowOff>8283</xdr:rowOff>
    </xdr:from>
    <xdr:to>
      <xdr:col>0</xdr:col>
      <xdr:colOff>971505</xdr:colOff>
      <xdr:row>34</xdr:row>
      <xdr:rowOff>16566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3177D9E5-45C8-0066-2A46-5CC57F69C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567" y="5375413"/>
          <a:ext cx="954938" cy="198783"/>
        </a:xfrm>
        <a:prstGeom prst="rect">
          <a:avLst/>
        </a:prstGeom>
      </xdr:spPr>
    </xdr:pic>
    <xdr:clientData/>
  </xdr:twoCellAnchor>
  <xdr:twoCellAnchor>
    <xdr:from>
      <xdr:col>0</xdr:col>
      <xdr:colOff>2686050</xdr:colOff>
      <xdr:row>1</xdr:row>
      <xdr:rowOff>171450</xdr:rowOff>
    </xdr:from>
    <xdr:to>
      <xdr:col>0</xdr:col>
      <xdr:colOff>5872370</xdr:colOff>
      <xdr:row>2</xdr:row>
      <xdr:rowOff>266700</xdr:rowOff>
    </xdr:to>
    <xdr:sp macro="" textlink="">
      <xdr:nvSpPr>
        <xdr:cNvPr id="23" name="TekstSylinder 6">
          <a:extLst>
            <a:ext uri="{FF2B5EF4-FFF2-40B4-BE49-F238E27FC236}">
              <a16:creationId xmlns:a16="http://schemas.microsoft.com/office/drawing/2014/main" id="{3B5C911A-DDAB-8CFF-543A-E5BA23EF8D16}"/>
            </a:ext>
            <a:ext uri="{147F2762-F138-4A5C-976F-8EAC2B608ADB}">
              <a16:predDERef xmlns:a16="http://schemas.microsoft.com/office/drawing/2014/main" pred="{3177D9E5-45C8-0066-2A46-5CC57F69C771}"/>
            </a:ext>
          </a:extLst>
        </xdr:cNvPr>
        <xdr:cNvSpPr txBox="1"/>
      </xdr:nvSpPr>
      <xdr:spPr>
        <a:xfrm>
          <a:off x="2686050" y="361950"/>
          <a:ext cx="3186320" cy="62533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- Grå felt er låst</a:t>
          </a:r>
        </a:p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- Gule felt kan endres for å tilpasse din produksjon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2B806-1581-4B18-947B-F5D2CD774AB0}">
  <dimension ref="A1:S36"/>
  <sheetViews>
    <sheetView showGridLines="0" tabSelected="1" zoomScaleNormal="100" workbookViewId="0">
      <selection activeCell="C6" sqref="C6"/>
    </sheetView>
  </sheetViews>
  <sheetFormatPr baseColWidth="10" defaultColWidth="11.42578125" defaultRowHeight="15"/>
  <cols>
    <col min="1" max="1" width="89.28515625" style="2" customWidth="1"/>
    <col min="2" max="2" width="10.85546875" style="2" customWidth="1"/>
    <col min="3" max="3" width="10.42578125" style="1" customWidth="1"/>
    <col min="4" max="4" width="7.28515625" style="2" customWidth="1"/>
    <col min="5" max="5" width="66" style="2" customWidth="1"/>
    <col min="6" max="6" width="9.5703125" style="2" customWidth="1"/>
    <col min="7" max="7" width="11.42578125" style="2" customWidth="1"/>
    <col min="8" max="8" width="11.42578125" style="2" hidden="1" customWidth="1"/>
    <col min="9" max="9" width="17.28515625" style="2" hidden="1" customWidth="1"/>
    <col min="10" max="19" width="11.42578125" style="2" hidden="1" customWidth="1"/>
    <col min="20" max="20" width="11.42578125" style="2" customWidth="1"/>
    <col min="21" max="16384" width="11.42578125" style="2"/>
  </cols>
  <sheetData>
    <row r="1" spans="1:18">
      <c r="A1" s="47" t="s">
        <v>55</v>
      </c>
      <c r="B1" s="47"/>
      <c r="C1" s="47"/>
      <c r="D1" s="47"/>
      <c r="I1" s="2" t="s">
        <v>56</v>
      </c>
    </row>
    <row r="2" spans="1:18" ht="42" customHeight="1">
      <c r="B2" s="10"/>
    </row>
    <row r="3" spans="1:18" ht="41.25" customHeight="1">
      <c r="G3" s="5"/>
      <c r="H3" s="5"/>
      <c r="I3" s="5"/>
      <c r="J3" s="5"/>
      <c r="K3" s="5"/>
      <c r="L3" s="5"/>
      <c r="M3" s="5">
        <f>($C$5-$C$6-$C$7)/20</f>
        <v>105</v>
      </c>
      <c r="N3" s="5"/>
    </row>
    <row r="4" spans="1:18">
      <c r="A4" s="17" t="s">
        <v>0</v>
      </c>
      <c r="B4" s="51" t="s">
        <v>1</v>
      </c>
      <c r="C4" s="52"/>
      <c r="D4" s="33"/>
      <c r="E4" s="2" t="s">
        <v>44</v>
      </c>
      <c r="G4" s="5"/>
      <c r="I4" s="5" t="s">
        <v>2</v>
      </c>
      <c r="J4" s="5" t="s">
        <v>3</v>
      </c>
      <c r="K4" s="5"/>
      <c r="L4" s="5"/>
      <c r="M4" s="5"/>
      <c r="N4" s="5"/>
      <c r="Q4" s="2" t="s">
        <v>4</v>
      </c>
      <c r="R4" s="2" t="s">
        <v>5</v>
      </c>
    </row>
    <row r="5" spans="1:18">
      <c r="A5" s="55" t="s">
        <v>6</v>
      </c>
      <c r="B5" s="56"/>
      <c r="C5" s="31">
        <v>2100</v>
      </c>
      <c r="G5" s="5"/>
      <c r="I5" s="5" t="s">
        <v>7</v>
      </c>
      <c r="J5" s="6">
        <f>9.45/2.36</f>
        <v>4.0042372881355934</v>
      </c>
      <c r="K5" s="5"/>
      <c r="L5" s="5"/>
      <c r="M5" s="5">
        <v>0</v>
      </c>
      <c r="N5" s="5"/>
      <c r="Q5" s="7">
        <f>52/5.5</f>
        <v>9.454545454545455</v>
      </c>
      <c r="R5" s="1">
        <f t="shared" ref="R5:R11" si="0">Q5*$C$17*$C$18</f>
        <v>132.36363636363635</v>
      </c>
    </row>
    <row r="6" spans="1:18">
      <c r="A6" s="55" t="s">
        <v>43</v>
      </c>
      <c r="B6" s="56"/>
      <c r="C6" s="31"/>
      <c r="G6" s="5"/>
      <c r="I6" s="5" t="s">
        <v>8</v>
      </c>
      <c r="J6" s="5">
        <f>N12/2.36</f>
        <v>7</v>
      </c>
      <c r="K6" s="5"/>
      <c r="L6" s="5"/>
      <c r="M6" s="5">
        <v>1</v>
      </c>
      <c r="N6" s="5">
        <f t="shared" ref="N6:N12" si="1">M6*2.36</f>
        <v>2.36</v>
      </c>
      <c r="Q6" s="7">
        <f>52/3.14</f>
        <v>16.560509554140125</v>
      </c>
      <c r="R6" s="1">
        <f t="shared" si="0"/>
        <v>231.84713375796173</v>
      </c>
    </row>
    <row r="7" spans="1:18">
      <c r="A7" s="57" t="str">
        <f>VLOOKUP(B4,H14:L16,5,FALSE)</f>
        <v>-</v>
      </c>
      <c r="B7" s="58"/>
      <c r="C7" s="31"/>
      <c r="G7" s="5"/>
      <c r="I7" s="5" t="s">
        <v>9</v>
      </c>
      <c r="J7" s="9">
        <f>N8/2.36</f>
        <v>3</v>
      </c>
      <c r="K7" s="5"/>
      <c r="L7" s="5"/>
      <c r="M7" s="5">
        <v>2</v>
      </c>
      <c r="N7" s="5">
        <f t="shared" si="1"/>
        <v>4.72</v>
      </c>
      <c r="Q7" s="7">
        <f>52/7.3</f>
        <v>7.1232876712328768</v>
      </c>
      <c r="R7" s="1">
        <f t="shared" si="0"/>
        <v>99.726027397260253</v>
      </c>
    </row>
    <row r="8" spans="1:18" ht="15.75">
      <c r="A8" s="59" t="s">
        <v>10</v>
      </c>
      <c r="B8" s="60"/>
      <c r="C8" s="26">
        <f>ROUNDDOWN(M3,0.5)</f>
        <v>105</v>
      </c>
      <c r="D8" s="7"/>
      <c r="G8" s="5"/>
      <c r="H8" s="5"/>
      <c r="I8" s="5" t="s">
        <v>11</v>
      </c>
      <c r="J8" s="5">
        <v>2</v>
      </c>
      <c r="L8" s="5"/>
      <c r="M8" s="5">
        <v>3</v>
      </c>
      <c r="N8" s="5">
        <f t="shared" si="1"/>
        <v>7.08</v>
      </c>
      <c r="Q8" s="7">
        <f>52/22</f>
        <v>2.3636363636363638</v>
      </c>
      <c r="R8" s="1">
        <f t="shared" si="0"/>
        <v>33.090909090909086</v>
      </c>
    </row>
    <row r="9" spans="1:18">
      <c r="A9" s="61" t="s">
        <v>12</v>
      </c>
      <c r="B9" s="62"/>
      <c r="C9" s="22"/>
      <c r="G9" s="5"/>
      <c r="H9" s="5"/>
      <c r="I9" s="5" t="s">
        <v>13</v>
      </c>
      <c r="J9" s="5">
        <v>1</v>
      </c>
      <c r="L9" s="5"/>
      <c r="M9" s="5">
        <v>4</v>
      </c>
      <c r="N9" s="5">
        <f t="shared" si="1"/>
        <v>9.44</v>
      </c>
      <c r="Q9" s="7">
        <f>52/22*2</f>
        <v>4.7272727272727275</v>
      </c>
      <c r="R9" s="1">
        <f t="shared" si="0"/>
        <v>66.181818181818173</v>
      </c>
    </row>
    <row r="10" spans="1:18" ht="15.75">
      <c r="A10" s="18" t="str">
        <f>B4</f>
        <v>Bruksbesetning</v>
      </c>
      <c r="B10" s="27">
        <f>VLOOKUP(B4,H13:K16,4,FALSE)</f>
        <v>14</v>
      </c>
      <c r="C10" s="36">
        <f>($C$5-$C$6-$C$7)/B10</f>
        <v>150</v>
      </c>
      <c r="G10" s="5"/>
      <c r="H10" s="5"/>
      <c r="I10" s="5" t="s">
        <v>14</v>
      </c>
      <c r="J10" s="5">
        <v>1</v>
      </c>
      <c r="K10" s="5"/>
      <c r="L10" s="5"/>
      <c r="M10" s="5">
        <v>5</v>
      </c>
      <c r="N10" s="5">
        <f t="shared" si="1"/>
        <v>11.799999999999999</v>
      </c>
      <c r="Q10" s="2">
        <f>52/23</f>
        <v>2.2608695652173911</v>
      </c>
      <c r="R10" s="1">
        <f t="shared" si="0"/>
        <v>31.652173913043473</v>
      </c>
    </row>
    <row r="11" spans="1:18">
      <c r="G11" s="5"/>
      <c r="H11" s="5"/>
      <c r="I11" s="5" t="s">
        <v>15</v>
      </c>
      <c r="J11" s="5">
        <v>1</v>
      </c>
      <c r="K11" s="5"/>
      <c r="L11" s="5"/>
      <c r="M11" s="5">
        <v>6</v>
      </c>
      <c r="N11" s="5">
        <f t="shared" si="1"/>
        <v>14.16</v>
      </c>
      <c r="Q11" s="2">
        <f>52/26</f>
        <v>2</v>
      </c>
      <c r="R11" s="1">
        <f t="shared" si="0"/>
        <v>28</v>
      </c>
    </row>
    <row r="12" spans="1:18">
      <c r="G12" s="5"/>
      <c r="H12" s="5"/>
      <c r="I12" s="5" t="s">
        <v>16</v>
      </c>
      <c r="J12" s="5" t="str">
        <f>IF(C16=7,"2","1")</f>
        <v>1</v>
      </c>
      <c r="K12" s="5"/>
      <c r="L12" s="5"/>
      <c r="M12" s="5">
        <v>7</v>
      </c>
      <c r="N12" s="5">
        <f t="shared" si="1"/>
        <v>16.52</v>
      </c>
    </row>
    <row r="13" spans="1:18">
      <c r="C13" s="7"/>
      <c r="G13" s="5"/>
      <c r="H13" s="4" t="s">
        <v>0</v>
      </c>
      <c r="I13" s="5" t="s">
        <v>17</v>
      </c>
      <c r="J13" s="8">
        <f>100%-C18</f>
        <v>0.65</v>
      </c>
      <c r="K13" s="5"/>
      <c r="L13" s="5"/>
      <c r="M13" s="5"/>
      <c r="N13" s="5"/>
    </row>
    <row r="14" spans="1:18" ht="15.75" thickBot="1">
      <c r="A14" s="11" t="s">
        <v>42</v>
      </c>
      <c r="C14" s="12"/>
      <c r="D14" s="1"/>
      <c r="H14" s="4" t="s">
        <v>1</v>
      </c>
      <c r="I14" s="5" t="s">
        <v>18</v>
      </c>
      <c r="J14" s="6">
        <f>VLOOKUP(B15,I5:R11,10,FALSE)</f>
        <v>99.726027397260253</v>
      </c>
      <c r="K14" s="2">
        <v>14</v>
      </c>
      <c r="L14" s="2" t="s">
        <v>19</v>
      </c>
    </row>
    <row r="15" spans="1:18" ht="15.75" thickBot="1">
      <c r="A15" s="13" t="s">
        <v>2</v>
      </c>
      <c r="B15" s="53" t="s">
        <v>9</v>
      </c>
      <c r="C15" s="54"/>
      <c r="D15" s="32"/>
      <c r="E15" s="2" t="s">
        <v>45</v>
      </c>
      <c r="H15" s="4" t="s">
        <v>20</v>
      </c>
      <c r="I15" s="5"/>
      <c r="J15" s="6"/>
      <c r="K15" s="2">
        <v>9.5454500000000007</v>
      </c>
      <c r="L15" s="2" t="s">
        <v>21</v>
      </c>
    </row>
    <row r="16" spans="1:18">
      <c r="A16" s="41" t="s">
        <v>22</v>
      </c>
      <c r="B16" s="42"/>
      <c r="C16" s="21">
        <f>VLOOKUP(B15,I5:J11,2,FALSE)</f>
        <v>3</v>
      </c>
      <c r="D16" s="1"/>
      <c r="H16" s="4" t="s">
        <v>23</v>
      </c>
      <c r="I16" s="5"/>
      <c r="J16" s="6"/>
      <c r="K16" s="2">
        <v>4.8</v>
      </c>
      <c r="L16" s="2" t="s">
        <v>21</v>
      </c>
    </row>
    <row r="17" spans="1:12">
      <c r="A17" s="39" t="s">
        <v>24</v>
      </c>
      <c r="B17" s="40"/>
      <c r="C17" s="29">
        <v>40</v>
      </c>
      <c r="D17" s="1"/>
      <c r="E17" s="35" t="str">
        <f>IF(L19=E22,L25," ")</f>
        <v xml:space="preserve"> </v>
      </c>
      <c r="L17" s="2" t="s">
        <v>21</v>
      </c>
    </row>
    <row r="18" spans="1:12">
      <c r="A18" s="39" t="s">
        <v>25</v>
      </c>
      <c r="B18" s="40"/>
      <c r="C18" s="30">
        <v>0.35</v>
      </c>
      <c r="D18" s="1"/>
      <c r="E18" s="35" t="str">
        <f>IF(L22=E25,L26," ")</f>
        <v xml:space="preserve"> </v>
      </c>
    </row>
    <row r="19" spans="1:12">
      <c r="A19" s="43" t="s">
        <v>26</v>
      </c>
      <c r="B19" s="44"/>
      <c r="C19" s="22">
        <f>C17*J12</f>
        <v>40</v>
      </c>
      <c r="D19" s="1"/>
      <c r="L19" s="2" t="s">
        <v>46</v>
      </c>
    </row>
    <row r="20" spans="1:12">
      <c r="A20" s="45" t="s">
        <v>27</v>
      </c>
      <c r="B20" s="46"/>
      <c r="C20" s="20">
        <f>C17*J13*(C16-J12)</f>
        <v>52</v>
      </c>
      <c r="D20" s="1"/>
      <c r="I20" s="2" t="str">
        <f>IF(B4=H16,"Omsatte livdyr over 50kg,(bare aktuelt for avlsbesetninger)","")</f>
        <v/>
      </c>
      <c r="L20" s="2" t="s">
        <v>50</v>
      </c>
    </row>
    <row r="21" spans="1:12">
      <c r="A21" s="48" t="s">
        <v>28</v>
      </c>
      <c r="B21" s="49"/>
      <c r="C21" s="28">
        <v>0</v>
      </c>
      <c r="D21" s="1"/>
    </row>
    <row r="22" spans="1:12" ht="15.75">
      <c r="A22" s="38" t="s">
        <v>29</v>
      </c>
      <c r="B22" s="38"/>
      <c r="C22" s="24">
        <f>C19+C20+C21</f>
        <v>92</v>
      </c>
      <c r="D22" s="1"/>
      <c r="E22" s="34" t="str">
        <f>IF(C22&gt;C8,L19,L20)</f>
        <v>Du er innenfor konsesjonsgrensen på innsatte avlspurker</v>
      </c>
      <c r="I22" s="3"/>
      <c r="L22" s="2" t="s">
        <v>47</v>
      </c>
    </row>
    <row r="23" spans="1:12">
      <c r="A23" s="38" t="s">
        <v>30</v>
      </c>
      <c r="B23" s="38"/>
      <c r="C23" s="19">
        <f>J14</f>
        <v>99.726027397260253</v>
      </c>
      <c r="D23" s="1"/>
      <c r="I23" t="s">
        <v>34</v>
      </c>
      <c r="J23">
        <v>115</v>
      </c>
      <c r="L23" s="2" t="s">
        <v>51</v>
      </c>
    </row>
    <row r="24" spans="1:12">
      <c r="A24" s="50" t="s">
        <v>31</v>
      </c>
      <c r="B24" s="50"/>
      <c r="C24" s="23"/>
      <c r="D24" s="1"/>
      <c r="I24" t="s">
        <v>35</v>
      </c>
      <c r="J24">
        <v>33</v>
      </c>
    </row>
    <row r="25" spans="1:12" ht="15.75">
      <c r="A25" s="38" t="s">
        <v>32</v>
      </c>
      <c r="B25" s="38"/>
      <c r="C25" s="25">
        <f>C24+C23</f>
        <v>99.726027397260253</v>
      </c>
      <c r="D25" s="1"/>
      <c r="E25" s="34" t="str">
        <f>IF(C25&gt;(C10+0.5),L22,L23)</f>
        <v>Du er innenfor konsesjonsgrensen på maks antall utrangerte</v>
      </c>
      <c r="I25" t="s">
        <v>36</v>
      </c>
      <c r="J25" s="14">
        <v>18</v>
      </c>
      <c r="L25" s="2" t="s">
        <v>49</v>
      </c>
    </row>
    <row r="26" spans="1:12">
      <c r="I26" t="s">
        <v>37</v>
      </c>
      <c r="J26" s="14">
        <f>J23+J24+J25</f>
        <v>166</v>
      </c>
      <c r="L26" s="35" t="s">
        <v>48</v>
      </c>
    </row>
    <row r="27" spans="1:12">
      <c r="I27"/>
      <c r="J27"/>
    </row>
    <row r="28" spans="1:12">
      <c r="I28"/>
      <c r="J28" s="14"/>
    </row>
    <row r="29" spans="1:12">
      <c r="I29" t="s">
        <v>38</v>
      </c>
      <c r="J29" s="15">
        <f>C18</f>
        <v>0.35</v>
      </c>
    </row>
    <row r="30" spans="1:12">
      <c r="I30"/>
      <c r="J30"/>
    </row>
    <row r="31" spans="1:12">
      <c r="I31" t="s">
        <v>39</v>
      </c>
      <c r="J31">
        <f>J29*(J24+J25)+(1-J29)*(J23+J24+J25)</f>
        <v>125.75</v>
      </c>
    </row>
    <row r="32" spans="1:12">
      <c r="I32"/>
      <c r="J32"/>
    </row>
    <row r="33" spans="1:11">
      <c r="A33" s="2" t="s">
        <v>33</v>
      </c>
      <c r="I33" t="s">
        <v>40</v>
      </c>
      <c r="J33" s="14">
        <f>J31/J26</f>
        <v>0.75753012048192769</v>
      </c>
    </row>
    <row r="34" spans="1:11">
      <c r="A34" s="2" t="s">
        <v>52</v>
      </c>
      <c r="I34" t="s">
        <v>41</v>
      </c>
      <c r="J34" s="14">
        <f>J26/J31</f>
        <v>1.320079522862823</v>
      </c>
    </row>
    <row r="35" spans="1:11">
      <c r="J35" s="37">
        <f>C22/J33</f>
        <v>121.44731610337972</v>
      </c>
      <c r="K35" s="16" t="s">
        <v>53</v>
      </c>
    </row>
    <row r="36" spans="1:11">
      <c r="J36" s="16">
        <f>J35*J33</f>
        <v>92</v>
      </c>
      <c r="K36" s="2" t="s">
        <v>54</v>
      </c>
    </row>
  </sheetData>
  <sheetProtection algorithmName="SHA-512" hashValue="MGwUXxl3sMTi75x+KsEcToff5FbVA9JHWd+iDA4MKgoESsx7rxy2dgF9LeWoyQBdHKszg+Db55z3IhuLaH2ISA==" saltValue="OoTTAV9KWzrx1jVZpWp8jw==" spinCount="100000" sheet="1" objects="1" scenarios="1" selectLockedCells="1"/>
  <mergeCells count="18">
    <mergeCell ref="A1:D1"/>
    <mergeCell ref="A22:B22"/>
    <mergeCell ref="A21:B21"/>
    <mergeCell ref="A24:B24"/>
    <mergeCell ref="A23:B23"/>
    <mergeCell ref="B4:C4"/>
    <mergeCell ref="B15:C15"/>
    <mergeCell ref="A5:B5"/>
    <mergeCell ref="A6:B6"/>
    <mergeCell ref="A7:B7"/>
    <mergeCell ref="A8:B8"/>
    <mergeCell ref="A9:B9"/>
    <mergeCell ref="A25:B25"/>
    <mergeCell ref="A18:B18"/>
    <mergeCell ref="A16:B16"/>
    <mergeCell ref="A17:B17"/>
    <mergeCell ref="A19:B19"/>
    <mergeCell ref="A20:B20"/>
  </mergeCells>
  <conditionalFormatting sqref="A7:B7">
    <cfRule type="cellIs" dxfId="13" priority="5" operator="equal">
      <formula>$L$15</formula>
    </cfRule>
  </conditionalFormatting>
  <conditionalFormatting sqref="C7">
    <cfRule type="cellIs" dxfId="12" priority="1" operator="equal">
      <formula>$A$7=$L$17</formula>
    </cfRule>
  </conditionalFormatting>
  <conditionalFormatting sqref="C22">
    <cfRule type="cellIs" dxfId="11" priority="26" operator="lessThanOrEqual">
      <formula>($C$8+0.5)</formula>
    </cfRule>
    <cfRule type="cellIs" dxfId="10" priority="27" operator="greaterThan">
      <formula>($C$8+0.51)</formula>
    </cfRule>
    <cfRule type="colorScale" priority="28">
      <colorScale>
        <cfvo type="min"/>
        <cfvo type="num" val="$C$22&lt;=$C$8"/>
        <color rgb="FFF8696B"/>
        <color rgb="FF63BE7B"/>
      </colorScale>
    </cfRule>
  </conditionalFormatting>
  <conditionalFormatting sqref="C25">
    <cfRule type="cellIs" dxfId="9" priority="29" operator="greaterThan">
      <formula>$C$10+0.5</formula>
    </cfRule>
    <cfRule type="cellIs" dxfId="8" priority="30" operator="lessThanOrEqual">
      <formula>$C$10+0.5</formula>
    </cfRule>
  </conditionalFormatting>
  <conditionalFormatting sqref="E17">
    <cfRule type="cellIs" dxfId="7" priority="7" operator="equal">
      <formula>$L$25</formula>
    </cfRule>
  </conditionalFormatting>
  <conditionalFormatting sqref="E18">
    <cfRule type="cellIs" dxfId="6" priority="6" operator="equal">
      <formula>$L$26</formula>
    </cfRule>
  </conditionalFormatting>
  <conditionalFormatting sqref="E25">
    <cfRule type="cellIs" dxfId="2" priority="9" operator="equal">
      <formula>$L$22</formula>
    </cfRule>
  </conditionalFormatting>
  <conditionalFormatting sqref="J14">
    <cfRule type="cellIs" dxfId="1" priority="35" operator="lessThan">
      <formula>$C$10+0.5</formula>
    </cfRule>
    <cfRule type="cellIs" dxfId="0" priority="36" operator="greaterThan">
      <formula>$C$10+0.51</formula>
    </cfRule>
  </conditionalFormatting>
  <dataValidations count="2">
    <dataValidation type="list" allowBlank="1" showInputMessage="1" showErrorMessage="1" promptTitle="Puljesystem" sqref="B15" xr:uid="{0753B0E1-5778-4D41-AFC4-73040287A822}">
      <formula1>$I$5:$I$11</formula1>
    </dataValidation>
    <dataValidation type="list" errorStyle="information" allowBlank="1" showInputMessage="1" showErrorMessage="1" error="Du må legge inn besetningstype" promptTitle="Besetningstype" sqref="B4:C4" xr:uid="{66A7C486-26A0-48D9-AE74-DC2C860F0E69}">
      <formula1>$H$14:$H$16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11877D15-66E9-4F34-A33E-F7872C8478A9}">
            <xm:f>NOT(ISERROR(SEARCH($L$19,E22)))</xm:f>
            <xm:f>$L$19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1" operator="containsText" id="{003BCA79-0C05-4DBF-A4FA-FC8464D86025}">
            <xm:f>NOT(ISERROR(SEARCH($L$20,E22)))</xm:f>
            <xm:f>$L$20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E22</xm:sqref>
        </x14:conditionalFormatting>
        <x14:conditionalFormatting xmlns:xm="http://schemas.microsoft.com/office/excel/2006/main">
          <x14:cfRule type="containsText" priority="8" operator="containsText" id="{D62CA33C-AD92-4724-8E82-135D07F931D3}">
            <xm:f>NOT(ISERROR(SEARCH($L$23,E25)))</xm:f>
            <xm:f>$L$23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E25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1CBE9B99179D44A9AC40F4DF47EAEC" ma:contentTypeVersion="17" ma:contentTypeDescription="Opprett et nytt dokument." ma:contentTypeScope="" ma:versionID="a38e72b5e5200c53f3a4e01bb1b655f4">
  <xsd:schema xmlns:xsd="http://www.w3.org/2001/XMLSchema" xmlns:xs="http://www.w3.org/2001/XMLSchema" xmlns:p="http://schemas.microsoft.com/office/2006/metadata/properties" xmlns:ns2="a83c1e3e-6d67-4c50-b9b6-fdf5cb1140af" xmlns:ns3="cfcea42f-f430-45fa-8cd2-9a7b1b478aa6" targetNamespace="http://schemas.microsoft.com/office/2006/metadata/properties" ma:root="true" ma:fieldsID="3abc74ec8fa1b70f0c175fbf6b43a997" ns2:_="" ns3:_="">
    <xsd:import namespace="a83c1e3e-6d67-4c50-b9b6-fdf5cb1140af"/>
    <xsd:import namespace="cfcea42f-f430-45fa-8cd2-9a7b1b478a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c1e3e-6d67-4c50-b9b6-fdf5cb1140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b0f0c245-37f1-4e93-a460-488bf4dded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ea42f-f430-45fa-8cd2-9a7b1b478aa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21b683e-a5cb-4d5f-aca3-d00e5eb3b174}" ma:internalName="TaxCatchAll" ma:showField="CatchAllData" ma:web="cfcea42f-f430-45fa-8cd2-9a7b1b478a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cea42f-f430-45fa-8cd2-9a7b1b478aa6" xsi:nil="true"/>
    <lcf76f155ced4ddcb4097134ff3c332f xmlns="a83c1e3e-6d67-4c50-b9b6-fdf5cb1140af">
      <Terms xmlns="http://schemas.microsoft.com/office/infopath/2007/PartnerControls"/>
    </lcf76f155ced4ddcb4097134ff3c332f>
    <SharedWithUsers xmlns="cfcea42f-f430-45fa-8cd2-9a7b1b478aa6">
      <UserInfo>
        <DisplayName>Kristoffer Øibakken</DisplayName>
        <AccountId>609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2820E69-096E-402B-9BEE-5B4E7BAC87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B6AF9-EF66-4B5B-849A-AFFDDA0B89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3c1e3e-6d67-4c50-b9b6-fdf5cb1140af"/>
    <ds:schemaRef ds:uri="cfcea42f-f430-45fa-8cd2-9a7b1b478a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5E0FE5-525E-4ECC-856B-6175B4AEECC1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cfcea42f-f430-45fa-8cd2-9a7b1b478aa6"/>
    <ds:schemaRef ds:uri="http://purl.org/dc/dcmitype/"/>
    <ds:schemaRef ds:uri="http://purl.org/dc/elements/1.1/"/>
    <ds:schemaRef ds:uri="a83c1e3e-6d67-4c50-b9b6-fdf5cb1140af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Øystein Moen</cp:lastModifiedBy>
  <cp:revision/>
  <dcterms:created xsi:type="dcterms:W3CDTF">2019-01-08T09:13:14Z</dcterms:created>
  <dcterms:modified xsi:type="dcterms:W3CDTF">2024-01-03T13:51:56Z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0x010100A61CBE9B99179D44A9AC40F4DF47EAEC</vt:lpwstr>
  </property>
  <property fmtid="{D5CDD505-2E9C-101B-9397-08002B2CF9AE}" pid="3" name="AuthorIds_UIVersion_10240">
    <vt:lpwstr>12</vt:lpwstr>
  </property>
  <property fmtid="{D5CDD505-2E9C-101B-9397-08002B2CF9AE}" pid="4" name="MediaServiceImageTags">
    <vt:lpwstr/>
  </property>
</Properties>
</file>